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4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installer</author>
  </authors>
  <commentList>
    <comment ref="C37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I have seen published values that say 2-3% and 3-4%.  So, it looks like 3% is a good average value.</t>
        </r>
      </text>
    </comment>
    <comment ref="C13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I have seen published values that say 4-6%, so I previously used 5%.  However according to the LASC, they quote Lawrence as stating that their magnum shot has 4%.
This store lists specific antimony percentages by shot size:
http://www.ballisticproducts.com/Lead-Magnum-Chilled/products/68/
Source:http://castboolits.gunloads.com/showthread.php?t=120593</t>
        </r>
      </text>
    </comment>
    <comment ref="B35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estimated value
Most people say it is pure lead, but it is a little harder than pure lead.  </t>
        </r>
      </text>
    </comment>
    <comment ref="B36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estimated value by mixing pure lead and clip on WW 2 to 1</t>
        </r>
      </text>
    </comment>
    <comment ref="C36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estimated value by mixing pure lead and clip on WW 2 to 1</t>
        </r>
      </text>
    </comment>
    <comment ref="I36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calculated
</t>
        </r>
      </text>
    </comment>
    <comment ref="I43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calculated
</t>
        </r>
      </text>
    </comment>
    <comment ref="I44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calculated
</t>
        </r>
      </text>
    </comment>
    <comment ref="B22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90-98% tin</t>
        </r>
      </text>
    </comment>
    <comment ref="C22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1-8% antimony</t>
        </r>
      </text>
    </comment>
    <comment ref="E22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.25-3% copper</t>
        </r>
      </text>
    </comment>
    <comment ref="D12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Actual value unknown at this time.  I am temporarily using half of the magnum value since the antimony is half as well.
</t>
        </r>
      </text>
    </comment>
    <comment ref="I23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Actual value unknown.
I'm temporarily using the value for 95/5 Sb solder.</t>
        </r>
      </text>
    </comment>
    <comment ref="C14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I have seen published values that say 4-6%, so I previously used 5%.  However according to the LASC, they quote Lawrence as stating that their magnum shot has 4%.
This store lists specific antimony percentages by shot size:
http://www.ballisticproducts.com/Lead-Magnum-Chilled/products/68/
Source:http://castboolits.gunloads.com/showthread.php?t=120593</t>
        </r>
      </text>
    </comment>
    <comment ref="I25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Actual value unknown.
I'm temporarily using the value for 95/5 Sb solder.</t>
        </r>
      </text>
    </comment>
    <comment ref="K4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5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6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7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8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13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14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15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16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18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19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20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21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24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26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29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 $3.09
Est. ebay price $2.00 to $2.50
CB price (example) $1.50
http://castboolits.gunloads.com/showthread.php?t=154436
</t>
        </r>
      </text>
    </comment>
    <comment ref="K40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41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34" authorId="0">
      <text>
        <r>
          <rPr>
            <b/>
            <sz val="9"/>
            <rFont val="Tahoma"/>
            <family val="0"/>
          </rPr>
          <t xml:space="preserve">installer:
</t>
        </r>
        <r>
          <rPr>
            <sz val="9"/>
            <rFont val="Tahoma"/>
            <family val="2"/>
          </rPr>
          <t>Est. CB price $1.20</t>
        </r>
        <r>
          <rPr>
            <sz val="9"/>
            <rFont val="Tahoma"/>
            <family val="0"/>
          </rPr>
          <t xml:space="preserve">
Rotometals price $2.19
</t>
        </r>
      </text>
    </comment>
    <comment ref="K35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http://castboolits.gunloads.com/showthread.php?t=63886</t>
        </r>
      </text>
    </comment>
    <comment ref="K36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http://castboolits.gunloads.com/showthread.php?t=63886</t>
        </r>
      </text>
    </comment>
    <comment ref="K37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http://castboolits.gunloads.com/showthread.php?t=63886</t>
        </r>
      </text>
    </comment>
    <comment ref="K38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http://castboolits.gunloads.com/showthread.php?t=86491</t>
        </r>
      </text>
    </comment>
    <comment ref="K39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http://castboolits.gunloads.com/showthread.php?t=86491</t>
        </r>
      </text>
    </comment>
    <comment ref="K11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Rotometals price</t>
        </r>
      </text>
    </comment>
    <comment ref="K12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http://www.ballisticproducts.com/Magnum-Chilled-Lead/products/68/</t>
        </r>
      </text>
    </comment>
    <comment ref="K31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Est. ebay price $2.00 to $3.00
</t>
        </r>
      </text>
    </comment>
    <comment ref="K9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calculated w/rotometals prices
</t>
        </r>
      </text>
    </comment>
    <comment ref="K22" authorId="0">
      <text>
        <r>
          <rPr>
            <b/>
            <sz val="9"/>
            <rFont val="Tahoma"/>
            <family val="0"/>
          </rPr>
          <t>installer:</t>
        </r>
        <r>
          <rPr>
            <sz val="9"/>
            <rFont val="Tahoma"/>
            <family val="0"/>
          </rPr>
          <t xml:space="preserve">
est. thrift store prices $5.00
Rotometals price $16.39</t>
        </r>
      </text>
    </comment>
    <comment ref="L63" authorId="0">
      <text>
        <r>
          <rPr>
            <b/>
            <sz val="9"/>
            <rFont val="Tahoma"/>
            <family val="0"/>
          </rPr>
          <t>bumpo628:</t>
        </r>
        <r>
          <rPr>
            <sz val="9"/>
            <rFont val="Tahoma"/>
            <family val="0"/>
          </rPr>
          <t xml:space="preserve">
Thanks for the nice suggestion. 
Post #57
http://castboolits.gunloads.com/showthread.php?t=105952&amp;page=3</t>
        </r>
      </text>
    </comment>
  </commentList>
</comments>
</file>

<file path=xl/sharedStrings.xml><?xml version="1.0" encoding="utf-8"?>
<sst xmlns="http://schemas.openxmlformats.org/spreadsheetml/2006/main" count="137" uniqueCount="107">
  <si>
    <t>Notes:</t>
  </si>
  <si>
    <t>Pure Lead</t>
  </si>
  <si>
    <t>Brinell 6</t>
  </si>
  <si>
    <t>Brinell 9</t>
  </si>
  <si>
    <t>Brinell 10</t>
  </si>
  <si>
    <t>Brinell 12</t>
  </si>
  <si>
    <t>Brinell 15</t>
  </si>
  <si>
    <t>Brinell 16</t>
  </si>
  <si>
    <t>Brinell 5</t>
  </si>
  <si>
    <t>Description</t>
  </si>
  <si>
    <t>Hardness</t>
  </si>
  <si>
    <t>Water quenching increases hardness.  For example, WW alloy can go from 12 up to 18.</t>
  </si>
  <si>
    <t>Hardball Alloy</t>
  </si>
  <si>
    <t>Mixed Alloy</t>
  </si>
  <si>
    <t>Chilled Shot</t>
  </si>
  <si>
    <t>by bumpo628</t>
  </si>
  <si>
    <t>Brinell 8</t>
  </si>
  <si>
    <t>Antimonial Lead</t>
  </si>
  <si>
    <t>Pure Tin</t>
  </si>
  <si>
    <t>Brinell 7</t>
  </si>
  <si>
    <t>Brinell 50</t>
  </si>
  <si>
    <t>Pure Antimony</t>
  </si>
  <si>
    <t>www.lasc.us/SuperHard.htm</t>
  </si>
  <si>
    <t>www.castboolits.gunloads.com</t>
  </si>
  <si>
    <t>www.lasc.us/CastBulletNotes.htm</t>
  </si>
  <si>
    <t>Brinell 19</t>
  </si>
  <si>
    <t>Brinell 26</t>
  </si>
  <si>
    <t>Est. Hardness</t>
  </si>
  <si>
    <t>www.missouribullet.com/technical.php</t>
  </si>
  <si>
    <t>Tin %</t>
  </si>
  <si>
    <t>Antimony %</t>
  </si>
  <si>
    <t>Lead %</t>
  </si>
  <si>
    <t>Weight</t>
  </si>
  <si>
    <t>50/50 Solder</t>
  </si>
  <si>
    <t>60/40 Solder</t>
  </si>
  <si>
    <t>Brinell 14</t>
  </si>
  <si>
    <t>Weight (lbs)</t>
  </si>
  <si>
    <t>According to Missouri Bullet, the optimum Brinell Hardness = CUP / 1279.8.  See your load data for the CUP.</t>
  </si>
  <si>
    <t>Isotope Lead (ingots)</t>
  </si>
  <si>
    <t>Brinell 11</t>
  </si>
  <si>
    <t>Hollow points intended for hunting/expansion should be about 2% Sn and 2% Sb.</t>
  </si>
  <si>
    <t>Castboolits Vendor Sales</t>
  </si>
  <si>
    <t>Castboolits Swappin &amp; Sellin</t>
  </si>
  <si>
    <t>Where to buy lead:</t>
  </si>
  <si>
    <t>References:</t>
  </si>
  <si>
    <t>Lead Alloy Calculator</t>
  </si>
  <si>
    <t>Brinell 30</t>
  </si>
  <si>
    <t>Brinell 23</t>
  </si>
  <si>
    <t>Brinell 36</t>
  </si>
  <si>
    <t>Brinell 13</t>
  </si>
  <si>
    <t>40 to 1</t>
  </si>
  <si>
    <t>30 to 1</t>
  </si>
  <si>
    <t>25 to 1</t>
  </si>
  <si>
    <t>20 to 1</t>
  </si>
  <si>
    <t>16 to 1</t>
  </si>
  <si>
    <t>10 to 1</t>
  </si>
  <si>
    <t>63/37 Solder</t>
  </si>
  <si>
    <t>Brinell 17</t>
  </si>
  <si>
    <t xml:space="preserve">Lyman No. 2 </t>
  </si>
  <si>
    <t>Rotometals Super Hard</t>
  </si>
  <si>
    <t>Range Lead (avg.)</t>
  </si>
  <si>
    <t xml:space="preserve">Yellow fields are input for the formula.  </t>
  </si>
  <si>
    <t>Antimony content increases hardness.  Tin content improves mold fill-out and adds a little hardness.</t>
  </si>
  <si>
    <t>Stick On Wheel Weight</t>
  </si>
  <si>
    <t>Clip On Wheel Weight</t>
  </si>
  <si>
    <t>www.midwayusa.com</t>
  </si>
  <si>
    <t>Arsenic %</t>
  </si>
  <si>
    <t>www.lasc.us/HeatTreat.htm</t>
  </si>
  <si>
    <t>www.lasc.us/WiljenArsenic.htm</t>
  </si>
  <si>
    <t>www.fellingfamily.net/isolead/index.html</t>
  </si>
  <si>
    <t>Custom Alloy</t>
  </si>
  <si>
    <t>Arsenic is a grain refiner that greatly improves heat treating and quenching in lead/antimony alloys.</t>
  </si>
  <si>
    <t>Estimated hardness calculated by Rotometals formula: Brinell  =  8.60 + ( 0.29 * %Tin ) + ( 0.92 * %Antimony  )</t>
  </si>
  <si>
    <t>Pewter</t>
  </si>
  <si>
    <t>Electrotype</t>
  </si>
  <si>
    <t>Linotype</t>
  </si>
  <si>
    <t>Stereotype</t>
  </si>
  <si>
    <t>Monotype</t>
  </si>
  <si>
    <t>Foundrytype</t>
  </si>
  <si>
    <t>Copper %</t>
  </si>
  <si>
    <t>.</t>
  </si>
  <si>
    <t>Isotope Lead (lg. cores)</t>
  </si>
  <si>
    <t>Boolits with more than 6% Antimony will be too brittle.  Copper content increases hardness.</t>
  </si>
  <si>
    <t>Lead Free 95/5 Solder (Cu)</t>
  </si>
  <si>
    <t>Lead Free 95/5 Solder (Sb)</t>
  </si>
  <si>
    <t>From Ingot to Target - Glen Fryxell</t>
  </si>
  <si>
    <t>Magnum Shot (6 or 9)</t>
  </si>
  <si>
    <t>Magnum Shot (7 - 8.5)</t>
  </si>
  <si>
    <t>Calculator Update Page</t>
  </si>
  <si>
    <t>RotoMetals.com</t>
  </si>
  <si>
    <t>MissouriBullet.com</t>
  </si>
  <si>
    <t>40/60 Solder</t>
  </si>
  <si>
    <t>Solder Ref.</t>
  </si>
  <si>
    <t>Silver %</t>
  </si>
  <si>
    <t>Lead Free 95/5 Solder (Ag)</t>
  </si>
  <si>
    <t>Unit Price ($ / lb)</t>
  </si>
  <si>
    <t>Price ($)</t>
  </si>
  <si>
    <t>Cost Calculator module</t>
  </si>
  <si>
    <t>Results:</t>
  </si>
  <si>
    <t>Boolit Weight (grains)</t>
  </si>
  <si>
    <t>Cost per 20 pcs</t>
  </si>
  <si>
    <t>Cost per 50 pcs</t>
  </si>
  <si>
    <t>Cost per 100 pcs</t>
  </si>
  <si>
    <t>Cost per 1000 pcs</t>
  </si>
  <si>
    <t>Cost per 500 pcs</t>
  </si>
  <si>
    <t>Boolit Cost (ea.)</t>
  </si>
  <si>
    <t>Cost module concept by Oreo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</si>
</sst>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8"/>
    <numFmt numFmtId="165" formatCode="0.0%"/>
    <numFmt numFmtId="166" formatCode="0.0"/>
    <numFmt numFmtId="167" formatCode="[$-409]h:mm:ss\ AM/PM"/>
    <numFmt numFmtId="168" formatCode="0.000"/>
    <numFmt numFmtId="169" formatCode="0.00000"/>
    <numFmt numFmtId="170" formatCode="0.0000"/>
    <numFmt numFmtId="171" formatCode="0.000000000000000%"/>
    <numFmt numFmtId="172" formatCode="0.000000%"/>
    <numFmt numFmtId="173" formatCode="0.000000000%"/>
    <numFmt numFmtId="174" formatCode="0.00000000000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%"/>
    <numFmt numFmtId="179" formatCode="&quot;$&quot;#,##0.00"/>
    <numFmt numFmtId="180" formatCode="&quot;$&quot;#,##0.000"/>
  </numFmts>
  <fonts count="5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u val="single"/>
      <sz val="9.5"/>
      <color indexed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10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10" fontId="1" fillId="0" borderId="19" xfId="0" applyNumberFormat="1" applyFont="1" applyFill="1" applyBorder="1" applyAlignment="1">
      <alignment horizontal="center"/>
    </xf>
    <xf numFmtId="166" fontId="1" fillId="0" borderId="19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10" fontId="0" fillId="0" borderId="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4" xfId="0" applyNumberForma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66" fontId="0" fillId="0" borderId="13" xfId="0" applyNumberFormat="1" applyFont="1" applyBorder="1" applyAlignment="1">
      <alignment horizontal="left" vertical="center"/>
    </xf>
    <xf numFmtId="166" fontId="1" fillId="0" borderId="20" xfId="0" applyNumberFormat="1" applyFont="1" applyBorder="1" applyAlignment="1">
      <alignment horizontal="center" vertical="center"/>
    </xf>
    <xf numFmtId="10" fontId="0" fillId="33" borderId="11" xfId="0" applyNumberFormat="1" applyFill="1" applyBorder="1" applyAlignment="1">
      <alignment horizontal="center"/>
    </xf>
    <xf numFmtId="10" fontId="1" fillId="0" borderId="10" xfId="0" applyNumberFormat="1" applyFont="1" applyFill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10" fontId="0" fillId="0" borderId="21" xfId="0" applyNumberFormat="1" applyFill="1" applyBorder="1" applyAlignment="1">
      <alignment horizontal="center"/>
    </xf>
    <xf numFmtId="10" fontId="0" fillId="0" borderId="21" xfId="0" applyNumberFormat="1" applyFon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166" fontId="0" fillId="0" borderId="21" xfId="0" applyNumberFormat="1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0" fontId="0" fillId="33" borderId="19" xfId="0" applyNumberFormat="1" applyFill="1" applyBorder="1" applyAlignment="1">
      <alignment horizontal="center"/>
    </xf>
    <xf numFmtId="166" fontId="0" fillId="0" borderId="20" xfId="0" applyNumberFormat="1" applyFont="1" applyBorder="1" applyAlignment="1">
      <alignment horizontal="left" vertical="center"/>
    </xf>
    <xf numFmtId="10" fontId="1" fillId="0" borderId="14" xfId="0" applyNumberFormat="1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10" fontId="3" fillId="0" borderId="22" xfId="53" applyNumberFormat="1" applyBorder="1" applyAlignment="1" applyProtection="1">
      <alignment horizontal="left"/>
      <protection/>
    </xf>
    <xf numFmtId="14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23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10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0" fontId="10" fillId="0" borderId="0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Fill="1" applyBorder="1" applyAlignment="1">
      <alignment horizontal="left"/>
    </xf>
    <xf numFmtId="0" fontId="10" fillId="0" borderId="22" xfId="0" applyFont="1" applyBorder="1" applyAlignment="1">
      <alignment horizontal="center"/>
    </xf>
    <xf numFmtId="10" fontId="10" fillId="0" borderId="22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23" xfId="53" applyFont="1" applyFill="1" applyBorder="1" applyAlignment="1" applyProtection="1">
      <alignment horizontal="left"/>
      <protection/>
    </xf>
    <xf numFmtId="0" fontId="11" fillId="0" borderId="0" xfId="53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left"/>
    </xf>
    <xf numFmtId="0" fontId="11" fillId="0" borderId="0" xfId="53" applyFont="1" applyBorder="1" applyAlignment="1" applyProtection="1">
      <alignment horizontal="left"/>
      <protection/>
    </xf>
    <xf numFmtId="10" fontId="11" fillId="0" borderId="0" xfId="53" applyNumberFormat="1" applyFont="1" applyFill="1" applyBorder="1" applyAlignment="1" applyProtection="1">
      <alignment horizontal="left"/>
      <protection/>
    </xf>
    <xf numFmtId="10" fontId="11" fillId="0" borderId="25" xfId="53" applyNumberFormat="1" applyFont="1" applyFill="1" applyBorder="1" applyAlignment="1" applyProtection="1">
      <alignment horizontal="left"/>
      <protection/>
    </xf>
    <xf numFmtId="0" fontId="11" fillId="0" borderId="22" xfId="53" applyFont="1" applyBorder="1" applyAlignment="1" applyProtection="1">
      <alignment horizontal="left"/>
      <protection/>
    </xf>
    <xf numFmtId="0" fontId="10" fillId="0" borderId="22" xfId="0" applyFont="1" applyBorder="1" applyAlignment="1">
      <alignment horizontal="left"/>
    </xf>
    <xf numFmtId="0" fontId="11" fillId="0" borderId="25" xfId="53" applyFont="1" applyBorder="1" applyAlignment="1" applyProtection="1">
      <alignment horizontal="left"/>
      <protection/>
    </xf>
    <xf numFmtId="0" fontId="3" fillId="0" borderId="26" xfId="53" applyBorder="1" applyAlignment="1" applyProtection="1">
      <alignment horizontal="right"/>
      <protection/>
    </xf>
    <xf numFmtId="0" fontId="3" fillId="0" borderId="24" xfId="53" applyBorder="1" applyAlignment="1" applyProtection="1">
      <alignment horizontal="center"/>
      <protection/>
    </xf>
    <xf numFmtId="0" fontId="8" fillId="0" borderId="16" xfId="0" applyFont="1" applyFill="1" applyBorder="1" applyAlignment="1">
      <alignment horizontal="right"/>
    </xf>
    <xf numFmtId="0" fontId="12" fillId="0" borderId="16" xfId="0" applyFont="1" applyFill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10" fontId="0" fillId="33" borderId="27" xfId="0" applyNumberFormat="1" applyFill="1" applyBorder="1" applyAlignment="1">
      <alignment horizontal="center"/>
    </xf>
    <xf numFmtId="0" fontId="0" fillId="33" borderId="27" xfId="0" applyNumberForma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33" borderId="28" xfId="0" applyNumberFormat="1" applyFont="1" applyFill="1" applyBorder="1" applyAlignment="1">
      <alignment horizontal="center"/>
    </xf>
    <xf numFmtId="165" fontId="0" fillId="33" borderId="27" xfId="0" applyNumberFormat="1" applyFill="1" applyBorder="1" applyAlignment="1">
      <alignment horizontal="center"/>
    </xf>
    <xf numFmtId="0" fontId="14" fillId="0" borderId="29" xfId="0" applyFont="1" applyFill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10" fontId="0" fillId="0" borderId="32" xfId="0" applyNumberForma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5" xfId="0" applyFont="1" applyFill="1" applyBorder="1" applyAlignment="1">
      <alignment horizontal="right"/>
    </xf>
    <xf numFmtId="10" fontId="0" fillId="0" borderId="36" xfId="0" applyNumberFormat="1" applyFill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165" fontId="0" fillId="0" borderId="36" xfId="0" applyNumberFormat="1" applyFont="1" applyBorder="1" applyAlignment="1">
      <alignment horizontal="center"/>
    </xf>
    <xf numFmtId="0" fontId="0" fillId="33" borderId="36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10" fontId="1" fillId="0" borderId="3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/>
    </xf>
    <xf numFmtId="0" fontId="3" fillId="0" borderId="0" xfId="53" applyBorder="1" applyAlignment="1" applyProtection="1">
      <alignment horizontal="center" vertical="center" wrapText="1"/>
      <protection/>
    </xf>
    <xf numFmtId="0" fontId="3" fillId="0" borderId="0" xfId="53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3" fillId="0" borderId="0" xfId="53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1" fillId="0" borderId="40" xfId="0" applyFont="1" applyBorder="1" applyAlignment="1">
      <alignment horizontal="center"/>
    </xf>
    <xf numFmtId="166" fontId="0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/>
    </xf>
    <xf numFmtId="166" fontId="1" fillId="0" borderId="0" xfId="0" applyNumberFormat="1" applyFont="1" applyBorder="1" applyAlignment="1">
      <alignment horizontal="center" vertical="center"/>
    </xf>
    <xf numFmtId="179" fontId="0" fillId="33" borderId="35" xfId="0" applyNumberFormat="1" applyFont="1" applyFill="1" applyBorder="1" applyAlignment="1">
      <alignment horizontal="center"/>
    </xf>
    <xf numFmtId="179" fontId="0" fillId="0" borderId="37" xfId="0" applyNumberFormat="1" applyFont="1" applyBorder="1" applyAlignment="1">
      <alignment horizontal="center"/>
    </xf>
    <xf numFmtId="179" fontId="0" fillId="33" borderId="16" xfId="0" applyNumberFormat="1" applyFont="1" applyFill="1" applyBorder="1" applyAlignment="1">
      <alignment horizontal="center"/>
    </xf>
    <xf numFmtId="179" fontId="0" fillId="0" borderId="13" xfId="0" applyNumberFormat="1" applyFont="1" applyBorder="1" applyAlignment="1">
      <alignment horizontal="center"/>
    </xf>
    <xf numFmtId="179" fontId="0" fillId="0" borderId="41" xfId="0" applyNumberFormat="1" applyFont="1" applyBorder="1" applyAlignment="1">
      <alignment horizontal="center"/>
    </xf>
    <xf numFmtId="179" fontId="0" fillId="0" borderId="40" xfId="0" applyNumberFormat="1" applyFon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179" fontId="1" fillId="0" borderId="20" xfId="0" applyNumberFormat="1" applyFont="1" applyBorder="1" applyAlignment="1">
      <alignment horizontal="center"/>
    </xf>
    <xf numFmtId="179" fontId="0" fillId="33" borderId="17" xfId="0" applyNumberFormat="1" applyFont="1" applyFill="1" applyBorder="1" applyAlignment="1">
      <alignment horizontal="center"/>
    </xf>
    <xf numFmtId="179" fontId="0" fillId="0" borderId="20" xfId="0" applyNumberFormat="1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left"/>
    </xf>
    <xf numFmtId="0" fontId="12" fillId="0" borderId="42" xfId="0" applyFont="1" applyBorder="1" applyAlignment="1">
      <alignment/>
    </xf>
    <xf numFmtId="0" fontId="12" fillId="0" borderId="30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3" fillId="0" borderId="28" xfId="53" applyBorder="1" applyAlignment="1" applyProtection="1">
      <alignment horizontal="center" vertical="center" wrapText="1"/>
      <protection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tboolits.gunloads.com/" TargetMode="External" /><Relationship Id="rId2" Type="http://schemas.openxmlformats.org/officeDocument/2006/relationships/hyperlink" Target="http://www.lasc.us/SuperHard.htm" TargetMode="External" /><Relationship Id="rId3" Type="http://schemas.openxmlformats.org/officeDocument/2006/relationships/hyperlink" Target="http://www.lasc.us/CastBulletNotes.htm" TargetMode="External" /><Relationship Id="rId4" Type="http://schemas.openxmlformats.org/officeDocument/2006/relationships/hyperlink" Target="http://www.missouribullet.com/technical.php" TargetMode="External" /><Relationship Id="rId5" Type="http://schemas.openxmlformats.org/officeDocument/2006/relationships/hyperlink" Target="http://www.fellingfamily.net/isolead/index.html" TargetMode="External" /><Relationship Id="rId6" Type="http://schemas.openxmlformats.org/officeDocument/2006/relationships/hyperlink" Target="http://castboolits.gunloads.com/forumdisplay.php?f=52" TargetMode="External" /><Relationship Id="rId7" Type="http://schemas.openxmlformats.org/officeDocument/2006/relationships/hyperlink" Target="http://castboolits.gunloads.com/forumdisplay.php?f=18" TargetMode="External" /><Relationship Id="rId8" Type="http://schemas.openxmlformats.org/officeDocument/2006/relationships/hyperlink" Target="http://www.lasc.us/WiljenArsenic.htm" TargetMode="External" /><Relationship Id="rId9" Type="http://schemas.openxmlformats.org/officeDocument/2006/relationships/hyperlink" Target="http://www.rotometals.com/Bullet-Casting-Alloys-s/5.htm" TargetMode="External" /><Relationship Id="rId10" Type="http://schemas.openxmlformats.org/officeDocument/2006/relationships/hyperlink" Target="http://www.lasc.us/HeatTreat.htm" TargetMode="External" /><Relationship Id="rId11" Type="http://schemas.openxmlformats.org/officeDocument/2006/relationships/hyperlink" Target="http://www.midwayusa.com/" TargetMode="External" /><Relationship Id="rId12" Type="http://schemas.openxmlformats.org/officeDocument/2006/relationships/hyperlink" Target="http://www.lasc.us/Fryxell_Book_Contents.htm" TargetMode="External" /><Relationship Id="rId13" Type="http://schemas.openxmlformats.org/officeDocument/2006/relationships/hyperlink" Target="http://castboolits.gunloads.com/showthread.php?t=105952" TargetMode="External" /><Relationship Id="rId14" Type="http://schemas.openxmlformats.org/officeDocument/2006/relationships/hyperlink" Target="http://www.missouribullet.com/details.php?prodId=92&amp;category=12&amp;secondary=&amp;keywords=" TargetMode="External" /><Relationship Id="rId15" Type="http://schemas.openxmlformats.org/officeDocument/2006/relationships/hyperlink" Target="http://www.canadametal.com/pdf/solder_tech.pdf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H34" sqref="H34"/>
    </sheetView>
  </sheetViews>
  <sheetFormatPr defaultColWidth="11.7109375" defaultRowHeight="12.75"/>
  <cols>
    <col min="1" max="1" width="17.57421875" style="17" customWidth="1"/>
    <col min="2" max="2" width="8.28125" style="1" bestFit="1" customWidth="1"/>
    <col min="3" max="3" width="11.7109375" style="1" customWidth="1"/>
    <col min="4" max="4" width="9.8515625" style="30" customWidth="1"/>
    <col min="5" max="5" width="10.140625" style="30" customWidth="1"/>
    <col min="6" max="6" width="8.28125" style="30" bestFit="1" customWidth="1"/>
    <col min="7" max="7" width="8.421875" style="30" customWidth="1"/>
    <col min="8" max="8" width="11.7109375" style="1" customWidth="1"/>
    <col min="9" max="9" width="11.57421875" style="1" customWidth="1"/>
    <col min="10" max="10" width="0.85546875" style="117" customWidth="1"/>
    <col min="11" max="11" width="18.00390625" style="1" customWidth="1"/>
    <col min="12" max="12" width="13.7109375" style="1" customWidth="1"/>
    <col min="13" max="13" width="0.85546875" style="1" customWidth="1"/>
    <col min="14" max="16384" width="11.7109375" style="1" customWidth="1"/>
  </cols>
  <sheetData>
    <row r="1" spans="1:12" ht="21" thickBot="1">
      <c r="A1" s="146" t="s">
        <v>45</v>
      </c>
      <c r="B1" s="147"/>
      <c r="C1" s="147"/>
      <c r="D1" s="147"/>
      <c r="E1" s="147"/>
      <c r="F1" s="147"/>
      <c r="G1" s="147"/>
      <c r="H1" s="147"/>
      <c r="I1" s="148"/>
      <c r="K1" s="159" t="s">
        <v>97</v>
      </c>
      <c r="L1" s="160"/>
    </row>
    <row r="2" spans="1:12" s="4" customFormat="1" ht="12.75" customHeight="1" thickBot="1">
      <c r="A2" s="56">
        <v>41096</v>
      </c>
      <c r="B2" s="3"/>
      <c r="C2" s="3"/>
      <c r="D2" s="24"/>
      <c r="E2" s="24"/>
      <c r="F2" s="24"/>
      <c r="G2" s="24"/>
      <c r="H2" s="3"/>
      <c r="I2" s="4" t="s">
        <v>15</v>
      </c>
      <c r="J2" s="3"/>
      <c r="L2" s="137"/>
    </row>
    <row r="3" spans="1:12" s="2" customFormat="1" ht="12.75" customHeight="1" thickBot="1">
      <c r="A3" s="106" t="s">
        <v>9</v>
      </c>
      <c r="B3" s="107" t="s">
        <v>29</v>
      </c>
      <c r="C3" s="108" t="s">
        <v>30</v>
      </c>
      <c r="D3" s="109" t="s">
        <v>66</v>
      </c>
      <c r="E3" s="109" t="s">
        <v>79</v>
      </c>
      <c r="F3" s="109" t="s">
        <v>93</v>
      </c>
      <c r="G3" s="109" t="s">
        <v>31</v>
      </c>
      <c r="H3" s="107" t="s">
        <v>36</v>
      </c>
      <c r="I3" s="99" t="s">
        <v>10</v>
      </c>
      <c r="J3" s="118"/>
      <c r="K3" s="98" t="s">
        <v>95</v>
      </c>
      <c r="L3" s="99" t="s">
        <v>96</v>
      </c>
    </row>
    <row r="4" spans="1:12" s="2" customFormat="1" ht="12.75" customHeight="1">
      <c r="A4" s="100" t="s">
        <v>50</v>
      </c>
      <c r="B4" s="101">
        <f>1/(40+1)</f>
        <v>0.024390243902439025</v>
      </c>
      <c r="C4" s="102">
        <v>0</v>
      </c>
      <c r="D4" s="102">
        <v>0</v>
      </c>
      <c r="E4" s="102">
        <v>0</v>
      </c>
      <c r="F4" s="102">
        <v>0</v>
      </c>
      <c r="G4" s="103">
        <f>1-B4-C4-D4-E4-F4</f>
        <v>0.975609756097561</v>
      </c>
      <c r="H4" s="104"/>
      <c r="I4" s="105" t="s">
        <v>16</v>
      </c>
      <c r="J4" s="111"/>
      <c r="K4" s="122">
        <v>2.41</v>
      </c>
      <c r="L4" s="123">
        <f aca="true" t="shared" si="0" ref="L4:L9">H4*K4</f>
        <v>0</v>
      </c>
    </row>
    <row r="5" spans="1:12" s="2" customFormat="1" ht="12.75" customHeight="1">
      <c r="A5" s="18" t="s">
        <v>51</v>
      </c>
      <c r="B5" s="15">
        <f>1/(30+1)</f>
        <v>0.03225806451612903</v>
      </c>
      <c r="C5" s="48">
        <v>0</v>
      </c>
      <c r="D5" s="48">
        <v>0</v>
      </c>
      <c r="E5" s="48">
        <v>0</v>
      </c>
      <c r="F5" s="48">
        <v>0</v>
      </c>
      <c r="G5" s="90">
        <f aca="true" t="shared" si="1" ref="G5:G41">1-B5-C5-D5-E5-F5</f>
        <v>0.967741935483871</v>
      </c>
      <c r="H5" s="6"/>
      <c r="I5" s="12" t="s">
        <v>3</v>
      </c>
      <c r="J5" s="111"/>
      <c r="K5" s="124">
        <v>2.57</v>
      </c>
      <c r="L5" s="123">
        <f t="shared" si="0"/>
        <v>0</v>
      </c>
    </row>
    <row r="6" spans="1:12" s="2" customFormat="1" ht="12.75" customHeight="1">
      <c r="A6" s="18" t="s">
        <v>52</v>
      </c>
      <c r="B6" s="15">
        <f>1/(25+1)</f>
        <v>0.038461538461538464</v>
      </c>
      <c r="C6" s="48">
        <v>0</v>
      </c>
      <c r="D6" s="48">
        <v>0</v>
      </c>
      <c r="E6" s="48">
        <v>0</v>
      </c>
      <c r="F6" s="48">
        <v>0</v>
      </c>
      <c r="G6" s="90">
        <f t="shared" si="1"/>
        <v>0.9615384615384616</v>
      </c>
      <c r="H6" s="6"/>
      <c r="I6" s="12" t="s">
        <v>3</v>
      </c>
      <c r="J6" s="111"/>
      <c r="K6" s="124">
        <v>2.67</v>
      </c>
      <c r="L6" s="123">
        <f t="shared" si="0"/>
        <v>0</v>
      </c>
    </row>
    <row r="7" spans="1:12" s="2" customFormat="1" ht="12.75" customHeight="1">
      <c r="A7" s="18" t="s">
        <v>53</v>
      </c>
      <c r="B7" s="15">
        <f>1/(20+1)</f>
        <v>0.047619047619047616</v>
      </c>
      <c r="C7" s="48">
        <v>0</v>
      </c>
      <c r="D7" s="48">
        <v>0</v>
      </c>
      <c r="E7" s="48">
        <v>0</v>
      </c>
      <c r="F7" s="48">
        <v>0</v>
      </c>
      <c r="G7" s="90">
        <f t="shared" si="1"/>
        <v>0.9523809523809523</v>
      </c>
      <c r="H7" s="6"/>
      <c r="I7" s="12" t="s">
        <v>4</v>
      </c>
      <c r="J7" s="111"/>
      <c r="K7" s="124">
        <v>2.79</v>
      </c>
      <c r="L7" s="123">
        <f t="shared" si="0"/>
        <v>0</v>
      </c>
    </row>
    <row r="8" spans="1:12" s="2" customFormat="1" ht="12.75" customHeight="1">
      <c r="A8" s="18" t="s">
        <v>54</v>
      </c>
      <c r="B8" s="15">
        <f>1/(16+1)</f>
        <v>0.058823529411764705</v>
      </c>
      <c r="C8" s="48">
        <v>0</v>
      </c>
      <c r="D8" s="48">
        <v>0</v>
      </c>
      <c r="E8" s="48">
        <v>0</v>
      </c>
      <c r="F8" s="48">
        <v>0</v>
      </c>
      <c r="G8" s="90">
        <f t="shared" si="1"/>
        <v>0.9411764705882353</v>
      </c>
      <c r="H8" s="6"/>
      <c r="I8" s="12" t="s">
        <v>39</v>
      </c>
      <c r="J8" s="111"/>
      <c r="K8" s="124">
        <v>2.89</v>
      </c>
      <c r="L8" s="123">
        <f t="shared" si="0"/>
        <v>0</v>
      </c>
    </row>
    <row r="9" spans="1:12" s="2" customFormat="1" ht="12.75" customHeight="1">
      <c r="A9" s="18" t="s">
        <v>55</v>
      </c>
      <c r="B9" s="15">
        <f>1/(10+1)</f>
        <v>0.09090909090909091</v>
      </c>
      <c r="C9" s="48">
        <v>0</v>
      </c>
      <c r="D9" s="48">
        <v>0</v>
      </c>
      <c r="E9" s="48">
        <v>0</v>
      </c>
      <c r="F9" s="48">
        <v>0</v>
      </c>
      <c r="G9" s="90">
        <f t="shared" si="1"/>
        <v>0.9090909090909091</v>
      </c>
      <c r="H9" s="6"/>
      <c r="I9" s="12" t="s">
        <v>5</v>
      </c>
      <c r="J9" s="111"/>
      <c r="K9" s="124">
        <f>(2.19*10+15.99*1)/11</f>
        <v>3.444545454545455</v>
      </c>
      <c r="L9" s="123">
        <f t="shared" si="0"/>
        <v>0</v>
      </c>
    </row>
    <row r="10" spans="1:12" s="2" customFormat="1" ht="4.5" customHeight="1">
      <c r="A10" s="43"/>
      <c r="B10" s="47"/>
      <c r="C10" s="37"/>
      <c r="D10" s="37"/>
      <c r="E10" s="37"/>
      <c r="F10" s="37"/>
      <c r="G10" s="91"/>
      <c r="H10" s="36"/>
      <c r="I10" s="44"/>
      <c r="J10" s="110"/>
      <c r="K10" s="126"/>
      <c r="L10" s="127"/>
    </row>
    <row r="11" spans="1:12" s="2" customFormat="1" ht="12.75" customHeight="1">
      <c r="A11" s="18" t="s">
        <v>21</v>
      </c>
      <c r="B11" s="52">
        <v>0</v>
      </c>
      <c r="C11" s="26">
        <v>1</v>
      </c>
      <c r="D11" s="48">
        <v>0</v>
      </c>
      <c r="E11" s="48">
        <v>0</v>
      </c>
      <c r="F11" s="48">
        <v>0</v>
      </c>
      <c r="G11" s="90">
        <f t="shared" si="1"/>
        <v>0</v>
      </c>
      <c r="H11" s="6"/>
      <c r="I11" s="12" t="s">
        <v>20</v>
      </c>
      <c r="J11" s="111"/>
      <c r="K11" s="124">
        <v>13.99</v>
      </c>
      <c r="L11" s="125">
        <f aca="true" t="shared" si="2" ref="L11:L16">H11*K11</f>
        <v>0</v>
      </c>
    </row>
    <row r="12" spans="1:12" s="2" customFormat="1" ht="12.75" customHeight="1">
      <c r="A12" s="18" t="s">
        <v>14</v>
      </c>
      <c r="B12" s="52">
        <v>0</v>
      </c>
      <c r="C12" s="26">
        <v>0.02</v>
      </c>
      <c r="D12" s="53">
        <f>D13/2</f>
        <v>0.00625</v>
      </c>
      <c r="E12" s="48">
        <v>0</v>
      </c>
      <c r="F12" s="48">
        <v>0</v>
      </c>
      <c r="G12" s="90">
        <f t="shared" si="1"/>
        <v>0.97375</v>
      </c>
      <c r="H12" s="6"/>
      <c r="I12" s="12" t="s">
        <v>4</v>
      </c>
      <c r="J12" s="111"/>
      <c r="K12" s="124">
        <f>(42.56*2+15.99)/50</f>
        <v>2.0221999999999998</v>
      </c>
      <c r="L12" s="125">
        <f t="shared" si="2"/>
        <v>0</v>
      </c>
    </row>
    <row r="13" spans="1:12" s="2" customFormat="1" ht="12.75" customHeight="1">
      <c r="A13" s="54" t="s">
        <v>86</v>
      </c>
      <c r="B13" s="52">
        <v>0</v>
      </c>
      <c r="C13" s="26">
        <v>0.04</v>
      </c>
      <c r="D13" s="26">
        <v>0.0125</v>
      </c>
      <c r="E13" s="48">
        <v>0</v>
      </c>
      <c r="F13" s="48">
        <v>0</v>
      </c>
      <c r="G13" s="90">
        <f t="shared" si="1"/>
        <v>0.9475</v>
      </c>
      <c r="H13" s="6"/>
      <c r="I13" s="12" t="s">
        <v>49</v>
      </c>
      <c r="J13" s="111"/>
      <c r="K13" s="124">
        <f>97.48/50</f>
        <v>1.9496</v>
      </c>
      <c r="L13" s="125">
        <f t="shared" si="2"/>
        <v>0</v>
      </c>
    </row>
    <row r="14" spans="1:12" s="2" customFormat="1" ht="12.75" customHeight="1">
      <c r="A14" s="54" t="s">
        <v>87</v>
      </c>
      <c r="B14" s="52">
        <v>0</v>
      </c>
      <c r="C14" s="26">
        <v>0.06</v>
      </c>
      <c r="D14" s="26">
        <v>0.0125</v>
      </c>
      <c r="E14" s="48">
        <v>0</v>
      </c>
      <c r="F14" s="48">
        <v>0</v>
      </c>
      <c r="G14" s="90">
        <f t="shared" si="1"/>
        <v>0.9275</v>
      </c>
      <c r="H14" s="6"/>
      <c r="I14" s="12" t="s">
        <v>49</v>
      </c>
      <c r="J14" s="111"/>
      <c r="K14" s="124">
        <f>87.59/50</f>
        <v>1.7518</v>
      </c>
      <c r="L14" s="125">
        <f t="shared" si="2"/>
        <v>0</v>
      </c>
    </row>
    <row r="15" spans="1:12" s="2" customFormat="1" ht="12.75" customHeight="1">
      <c r="A15" s="18" t="s">
        <v>17</v>
      </c>
      <c r="B15" s="52">
        <v>0</v>
      </c>
      <c r="C15" s="26">
        <v>0.05</v>
      </c>
      <c r="D15" s="48">
        <v>0</v>
      </c>
      <c r="E15" s="48">
        <v>0</v>
      </c>
      <c r="F15" s="48">
        <v>0</v>
      </c>
      <c r="G15" s="90">
        <f t="shared" si="1"/>
        <v>0.95</v>
      </c>
      <c r="H15" s="6"/>
      <c r="I15" s="12" t="s">
        <v>49</v>
      </c>
      <c r="J15" s="111"/>
      <c r="K15" s="124">
        <v>1.89</v>
      </c>
      <c r="L15" s="125">
        <f t="shared" si="2"/>
        <v>0</v>
      </c>
    </row>
    <row r="16" spans="1:12" s="2" customFormat="1" ht="12.75" customHeight="1">
      <c r="A16" s="54" t="s">
        <v>59</v>
      </c>
      <c r="B16" s="52">
        <v>0</v>
      </c>
      <c r="C16" s="26">
        <v>0.3</v>
      </c>
      <c r="D16" s="48">
        <v>0</v>
      </c>
      <c r="E16" s="48">
        <v>0</v>
      </c>
      <c r="F16" s="48">
        <v>0</v>
      </c>
      <c r="G16" s="90">
        <f t="shared" si="1"/>
        <v>0.7</v>
      </c>
      <c r="H16" s="6"/>
      <c r="I16" s="12" t="s">
        <v>48</v>
      </c>
      <c r="J16" s="111"/>
      <c r="K16" s="124">
        <v>4.09</v>
      </c>
      <c r="L16" s="125">
        <f t="shared" si="2"/>
        <v>0</v>
      </c>
    </row>
    <row r="17" spans="1:12" s="2" customFormat="1" ht="4.5" customHeight="1">
      <c r="A17" s="43"/>
      <c r="B17" s="47"/>
      <c r="C17" s="37"/>
      <c r="D17" s="49"/>
      <c r="E17" s="49"/>
      <c r="F17" s="49"/>
      <c r="G17" s="91"/>
      <c r="H17" s="36"/>
      <c r="I17" s="44"/>
      <c r="J17" s="110"/>
      <c r="K17" s="126"/>
      <c r="L17" s="127"/>
    </row>
    <row r="18" spans="1:12" s="2" customFormat="1" ht="12.75" customHeight="1">
      <c r="A18" s="18" t="s">
        <v>91</v>
      </c>
      <c r="B18" s="15">
        <v>0.4</v>
      </c>
      <c r="C18" s="48">
        <v>0</v>
      </c>
      <c r="D18" s="48">
        <v>0</v>
      </c>
      <c r="E18" s="48">
        <v>0</v>
      </c>
      <c r="F18" s="48">
        <v>0</v>
      </c>
      <c r="G18" s="90">
        <f t="shared" si="1"/>
        <v>0.6</v>
      </c>
      <c r="H18" s="6"/>
      <c r="I18" s="12" t="s">
        <v>6</v>
      </c>
      <c r="J18" s="111"/>
      <c r="K18" s="124">
        <v>8.94</v>
      </c>
      <c r="L18" s="125">
        <f>H18*K18</f>
        <v>0</v>
      </c>
    </row>
    <row r="19" spans="1:12" s="2" customFormat="1" ht="12.75" customHeight="1">
      <c r="A19" s="18" t="s">
        <v>33</v>
      </c>
      <c r="B19" s="15">
        <v>0.5</v>
      </c>
      <c r="C19" s="48">
        <v>0</v>
      </c>
      <c r="D19" s="48">
        <v>0</v>
      </c>
      <c r="E19" s="48">
        <v>0</v>
      </c>
      <c r="F19" s="48">
        <v>0</v>
      </c>
      <c r="G19" s="90">
        <f t="shared" si="1"/>
        <v>0.5</v>
      </c>
      <c r="H19" s="6"/>
      <c r="I19" s="12" t="s">
        <v>35</v>
      </c>
      <c r="J19" s="111"/>
      <c r="K19" s="124">
        <v>9.97</v>
      </c>
      <c r="L19" s="125">
        <f aca="true" t="shared" si="3" ref="L19:L26">H19*K19</f>
        <v>0</v>
      </c>
    </row>
    <row r="20" spans="1:12" s="2" customFormat="1" ht="12.75" customHeight="1">
      <c r="A20" s="18" t="s">
        <v>34</v>
      </c>
      <c r="B20" s="15">
        <v>0.6</v>
      </c>
      <c r="C20" s="48">
        <v>0</v>
      </c>
      <c r="D20" s="48">
        <v>0</v>
      </c>
      <c r="E20" s="48">
        <v>0</v>
      </c>
      <c r="F20" s="48">
        <v>0</v>
      </c>
      <c r="G20" s="90">
        <f t="shared" si="1"/>
        <v>0.4</v>
      </c>
      <c r="H20" s="6"/>
      <c r="I20" s="12" t="s">
        <v>7</v>
      </c>
      <c r="J20" s="111"/>
      <c r="K20" s="124">
        <v>11.59</v>
      </c>
      <c r="L20" s="125">
        <f t="shared" si="3"/>
        <v>0</v>
      </c>
    </row>
    <row r="21" spans="1:12" s="2" customFormat="1" ht="12.75" customHeight="1">
      <c r="A21" s="18" t="s">
        <v>56</v>
      </c>
      <c r="B21" s="15">
        <v>0.63</v>
      </c>
      <c r="C21" s="48">
        <v>0</v>
      </c>
      <c r="D21" s="48">
        <v>0</v>
      </c>
      <c r="E21" s="48">
        <v>0</v>
      </c>
      <c r="F21" s="48">
        <v>0</v>
      </c>
      <c r="G21" s="90">
        <f t="shared" si="1"/>
        <v>0.37</v>
      </c>
      <c r="H21" s="6"/>
      <c r="I21" s="12" t="s">
        <v>57</v>
      </c>
      <c r="J21" s="111"/>
      <c r="K21" s="124">
        <v>11.99</v>
      </c>
      <c r="L21" s="125">
        <f t="shared" si="3"/>
        <v>0</v>
      </c>
    </row>
    <row r="22" spans="1:12" s="2" customFormat="1" ht="12.75" customHeight="1">
      <c r="A22" s="18" t="s">
        <v>73</v>
      </c>
      <c r="B22" s="15">
        <v>0.925</v>
      </c>
      <c r="C22" s="26">
        <v>0.06</v>
      </c>
      <c r="D22" s="48">
        <v>0</v>
      </c>
      <c r="E22" s="26">
        <v>0.015</v>
      </c>
      <c r="F22" s="48">
        <v>0</v>
      </c>
      <c r="G22" s="90">
        <f>1-B22-C22-D22-E22-F22</f>
        <v>-4.163336342344337E-17</v>
      </c>
      <c r="H22" s="6"/>
      <c r="I22" s="12" t="s">
        <v>47</v>
      </c>
      <c r="J22" s="111"/>
      <c r="K22" s="124">
        <v>5</v>
      </c>
      <c r="L22" s="125">
        <f t="shared" si="3"/>
        <v>0</v>
      </c>
    </row>
    <row r="23" spans="1:12" s="2" customFormat="1" ht="12.75" customHeight="1">
      <c r="A23" s="86" t="s">
        <v>83</v>
      </c>
      <c r="B23" s="15">
        <v>0.95</v>
      </c>
      <c r="C23" s="48">
        <v>0</v>
      </c>
      <c r="D23" s="48">
        <v>0</v>
      </c>
      <c r="E23" s="26">
        <v>0.05</v>
      </c>
      <c r="F23" s="48">
        <v>0</v>
      </c>
      <c r="G23" s="90">
        <f t="shared" si="1"/>
        <v>4.163336342344337E-17</v>
      </c>
      <c r="H23" s="6"/>
      <c r="I23" s="12" t="s">
        <v>6</v>
      </c>
      <c r="J23" s="111"/>
      <c r="K23" s="124"/>
      <c r="L23" s="125">
        <f t="shared" si="3"/>
        <v>0</v>
      </c>
    </row>
    <row r="24" spans="1:12" s="2" customFormat="1" ht="12.75" customHeight="1">
      <c r="A24" s="86" t="s">
        <v>84</v>
      </c>
      <c r="B24" s="15">
        <v>0.95</v>
      </c>
      <c r="C24" s="26">
        <v>0.05</v>
      </c>
      <c r="D24" s="48">
        <v>0</v>
      </c>
      <c r="E24" s="48">
        <v>0</v>
      </c>
      <c r="F24" s="48">
        <v>0</v>
      </c>
      <c r="G24" s="90">
        <f>1-B24-C24-D24-E24-F24</f>
        <v>4.163336342344337E-17</v>
      </c>
      <c r="H24" s="6"/>
      <c r="I24" s="12" t="s">
        <v>6</v>
      </c>
      <c r="J24" s="111"/>
      <c r="K24" s="124">
        <v>18.49</v>
      </c>
      <c r="L24" s="125">
        <f t="shared" si="3"/>
        <v>0</v>
      </c>
    </row>
    <row r="25" spans="1:12" s="2" customFormat="1" ht="12.75" customHeight="1">
      <c r="A25" s="86" t="s">
        <v>94</v>
      </c>
      <c r="B25" s="15">
        <v>0.96</v>
      </c>
      <c r="C25" s="48">
        <v>0</v>
      </c>
      <c r="D25" s="48">
        <v>0</v>
      </c>
      <c r="E25" s="48">
        <v>0</v>
      </c>
      <c r="F25" s="26">
        <v>0.04</v>
      </c>
      <c r="G25" s="90">
        <f>1-B25-C25-D25-E25-F25</f>
        <v>0</v>
      </c>
      <c r="H25" s="6"/>
      <c r="I25" s="12" t="s">
        <v>6</v>
      </c>
      <c r="J25" s="111"/>
      <c r="K25" s="124"/>
      <c r="L25" s="125">
        <f t="shared" si="3"/>
        <v>0</v>
      </c>
    </row>
    <row r="26" spans="1:12" s="2" customFormat="1" ht="12.75" customHeight="1">
      <c r="A26" s="18" t="s">
        <v>18</v>
      </c>
      <c r="B26" s="15">
        <v>1</v>
      </c>
      <c r="C26" s="48">
        <v>0</v>
      </c>
      <c r="D26" s="48">
        <v>0</v>
      </c>
      <c r="E26" s="48">
        <v>0</v>
      </c>
      <c r="F26" s="48">
        <v>0</v>
      </c>
      <c r="G26" s="90">
        <f t="shared" si="1"/>
        <v>0</v>
      </c>
      <c r="H26" s="6"/>
      <c r="I26" s="12" t="s">
        <v>19</v>
      </c>
      <c r="J26" s="111"/>
      <c r="K26" s="124">
        <v>15.99</v>
      </c>
      <c r="L26" s="125">
        <f t="shared" si="3"/>
        <v>0</v>
      </c>
    </row>
    <row r="27" spans="1:12" s="2" customFormat="1" ht="4.5" customHeight="1">
      <c r="A27" s="20"/>
      <c r="B27" s="28"/>
      <c r="C27" s="27"/>
      <c r="D27" s="50"/>
      <c r="E27" s="50"/>
      <c r="F27" s="50"/>
      <c r="G27" s="91"/>
      <c r="H27" s="13"/>
      <c r="I27" s="14"/>
      <c r="J27" s="111"/>
      <c r="K27" s="126"/>
      <c r="L27" s="127"/>
    </row>
    <row r="28" spans="1:12" s="2" customFormat="1" ht="12.75" customHeight="1">
      <c r="A28" s="18" t="s">
        <v>74</v>
      </c>
      <c r="B28" s="15">
        <v>0.025</v>
      </c>
      <c r="C28" s="26">
        <v>0.025</v>
      </c>
      <c r="D28" s="48">
        <v>0</v>
      </c>
      <c r="E28" s="48">
        <v>0</v>
      </c>
      <c r="F28" s="48">
        <v>0</v>
      </c>
      <c r="G28" s="90">
        <f t="shared" si="1"/>
        <v>0.95</v>
      </c>
      <c r="H28" s="6"/>
      <c r="I28" s="12" t="s">
        <v>39</v>
      </c>
      <c r="J28" s="111"/>
      <c r="K28" s="124"/>
      <c r="L28" s="125">
        <f>H28*K28</f>
        <v>0</v>
      </c>
    </row>
    <row r="29" spans="1:12" s="2" customFormat="1" ht="12.75" customHeight="1">
      <c r="A29" s="18" t="s">
        <v>75</v>
      </c>
      <c r="B29" s="15">
        <v>0.04</v>
      </c>
      <c r="C29" s="26">
        <v>0.12</v>
      </c>
      <c r="D29" s="48">
        <v>0</v>
      </c>
      <c r="E29" s="48">
        <v>0</v>
      </c>
      <c r="F29" s="48">
        <v>0</v>
      </c>
      <c r="G29" s="90">
        <f t="shared" si="1"/>
        <v>0.84</v>
      </c>
      <c r="H29" s="6"/>
      <c r="I29" s="12" t="s">
        <v>25</v>
      </c>
      <c r="J29" s="111"/>
      <c r="K29" s="124">
        <v>1.5</v>
      </c>
      <c r="L29" s="125">
        <f>H29*K29</f>
        <v>0</v>
      </c>
    </row>
    <row r="30" spans="1:12" s="2" customFormat="1" ht="12.75" customHeight="1">
      <c r="A30" s="18" t="s">
        <v>76</v>
      </c>
      <c r="B30" s="15">
        <v>0.06</v>
      </c>
      <c r="C30" s="26">
        <v>0.14</v>
      </c>
      <c r="D30" s="48">
        <v>0</v>
      </c>
      <c r="E30" s="48">
        <v>0</v>
      </c>
      <c r="F30" s="48">
        <v>0</v>
      </c>
      <c r="G30" s="90">
        <f t="shared" si="1"/>
        <v>0.7999999999999999</v>
      </c>
      <c r="H30" s="6"/>
      <c r="I30" s="12" t="s">
        <v>47</v>
      </c>
      <c r="J30" s="111"/>
      <c r="K30" s="124"/>
      <c r="L30" s="125">
        <f>H30*K30</f>
        <v>0</v>
      </c>
    </row>
    <row r="31" spans="1:12" s="2" customFormat="1" ht="12.75" customHeight="1">
      <c r="A31" s="18" t="s">
        <v>77</v>
      </c>
      <c r="B31" s="15">
        <v>0.09</v>
      </c>
      <c r="C31" s="26">
        <v>0.19</v>
      </c>
      <c r="D31" s="48">
        <v>0</v>
      </c>
      <c r="E31" s="48">
        <v>0</v>
      </c>
      <c r="F31" s="48">
        <v>0</v>
      </c>
      <c r="G31" s="90">
        <f t="shared" si="1"/>
        <v>0.72</v>
      </c>
      <c r="H31" s="6"/>
      <c r="I31" s="12" t="s">
        <v>26</v>
      </c>
      <c r="J31" s="111"/>
      <c r="K31" s="124">
        <v>2.5</v>
      </c>
      <c r="L31" s="125">
        <f>H31*K31</f>
        <v>0</v>
      </c>
    </row>
    <row r="32" spans="1:12" s="2" customFormat="1" ht="12.75" customHeight="1">
      <c r="A32" s="18" t="s">
        <v>78</v>
      </c>
      <c r="B32" s="15">
        <v>0.15</v>
      </c>
      <c r="C32" s="26">
        <v>0.23</v>
      </c>
      <c r="D32" s="48">
        <v>0</v>
      </c>
      <c r="E32" s="48">
        <v>0</v>
      </c>
      <c r="F32" s="48">
        <v>0</v>
      </c>
      <c r="G32" s="90">
        <f t="shared" si="1"/>
        <v>0.62</v>
      </c>
      <c r="H32" s="6"/>
      <c r="I32" s="12" t="s">
        <v>46</v>
      </c>
      <c r="J32" s="111"/>
      <c r="K32" s="124">
        <v>2</v>
      </c>
      <c r="L32" s="125">
        <f>H32*K32</f>
        <v>0</v>
      </c>
    </row>
    <row r="33" spans="1:12" s="2" customFormat="1" ht="4.5" customHeight="1">
      <c r="A33" s="20"/>
      <c r="B33" s="28"/>
      <c r="C33" s="27"/>
      <c r="D33" s="50"/>
      <c r="E33" s="50"/>
      <c r="F33" s="50"/>
      <c r="G33" s="91"/>
      <c r="H33" s="13"/>
      <c r="I33" s="14"/>
      <c r="J33" s="111"/>
      <c r="K33" s="126"/>
      <c r="L33" s="127"/>
    </row>
    <row r="34" spans="1:12" s="2" customFormat="1" ht="12.75" customHeight="1">
      <c r="A34" s="18" t="s">
        <v>1</v>
      </c>
      <c r="B34" s="52">
        <v>0</v>
      </c>
      <c r="C34" s="48">
        <v>0</v>
      </c>
      <c r="D34" s="48">
        <v>0</v>
      </c>
      <c r="E34" s="48">
        <v>0</v>
      </c>
      <c r="F34" s="48">
        <v>0</v>
      </c>
      <c r="G34" s="90">
        <f t="shared" si="1"/>
        <v>1</v>
      </c>
      <c r="H34" s="6"/>
      <c r="I34" s="12" t="s">
        <v>8</v>
      </c>
      <c r="J34" s="111"/>
      <c r="K34" s="124">
        <f>60/50</f>
        <v>1.2</v>
      </c>
      <c r="L34" s="125">
        <f>H34*K34</f>
        <v>0</v>
      </c>
    </row>
    <row r="35" spans="1:12" s="2" customFormat="1" ht="12.75" customHeight="1">
      <c r="A35" s="54" t="s">
        <v>63</v>
      </c>
      <c r="B35" s="15">
        <v>0.0025</v>
      </c>
      <c r="C35" s="48">
        <v>0</v>
      </c>
      <c r="D35" s="48">
        <v>0</v>
      </c>
      <c r="E35" s="48">
        <v>0</v>
      </c>
      <c r="F35" s="48">
        <v>0</v>
      </c>
      <c r="G35" s="90">
        <f t="shared" si="1"/>
        <v>0.9975</v>
      </c>
      <c r="H35" s="6"/>
      <c r="I35" s="12" t="s">
        <v>2</v>
      </c>
      <c r="J35" s="111"/>
      <c r="K35" s="124">
        <f>58/50</f>
        <v>1.16</v>
      </c>
      <c r="L35" s="125">
        <f aca="true" t="shared" si="4" ref="L35:L41">H35*K35</f>
        <v>0</v>
      </c>
    </row>
    <row r="36" spans="1:12" s="2" customFormat="1" ht="12.75" customHeight="1">
      <c r="A36" s="85" t="s">
        <v>60</v>
      </c>
      <c r="B36" s="15">
        <v>0.001666</v>
      </c>
      <c r="C36" s="26">
        <v>0.01</v>
      </c>
      <c r="D36" s="48">
        <v>0</v>
      </c>
      <c r="E36" s="48">
        <v>0</v>
      </c>
      <c r="F36" s="48">
        <v>0</v>
      </c>
      <c r="G36" s="90">
        <f t="shared" si="1"/>
        <v>0.988334</v>
      </c>
      <c r="H36" s="6"/>
      <c r="I36" s="31" t="str">
        <f>"Brinell "&amp;ROUND((8.6+(0.29*B36*100)+(0.92*C36*100)),0)</f>
        <v>Brinell 10</v>
      </c>
      <c r="J36" s="119"/>
      <c r="K36" s="124">
        <f>51/50</f>
        <v>1.02</v>
      </c>
      <c r="L36" s="125">
        <f t="shared" si="4"/>
        <v>0</v>
      </c>
    </row>
    <row r="37" spans="1:12" s="2" customFormat="1" ht="12.75" customHeight="1">
      <c r="A37" s="54" t="s">
        <v>64</v>
      </c>
      <c r="B37" s="15">
        <v>0.005</v>
      </c>
      <c r="C37" s="26">
        <v>0.03</v>
      </c>
      <c r="D37" s="26">
        <v>0.0025</v>
      </c>
      <c r="E37" s="48">
        <v>0</v>
      </c>
      <c r="F37" s="48">
        <v>0</v>
      </c>
      <c r="G37" s="90">
        <f t="shared" si="1"/>
        <v>0.9625</v>
      </c>
      <c r="H37" s="6"/>
      <c r="I37" s="12" t="s">
        <v>5</v>
      </c>
      <c r="J37" s="111"/>
      <c r="K37" s="124">
        <f>54/50</f>
        <v>1.08</v>
      </c>
      <c r="L37" s="125">
        <f>H37*K37</f>
        <v>0</v>
      </c>
    </row>
    <row r="38" spans="1:12" s="2" customFormat="1" ht="12.75" customHeight="1">
      <c r="A38" s="54" t="s">
        <v>81</v>
      </c>
      <c r="B38" s="15">
        <v>0.01</v>
      </c>
      <c r="C38" s="26">
        <v>0.03</v>
      </c>
      <c r="D38" s="48">
        <v>0</v>
      </c>
      <c r="E38" s="48">
        <v>0</v>
      </c>
      <c r="F38" s="48">
        <v>0</v>
      </c>
      <c r="G38" s="90">
        <f t="shared" si="1"/>
        <v>0.96</v>
      </c>
      <c r="H38" s="6"/>
      <c r="I38" s="12" t="s">
        <v>39</v>
      </c>
      <c r="J38" s="111"/>
      <c r="K38" s="124">
        <f>70/63</f>
        <v>1.1111111111111112</v>
      </c>
      <c r="L38" s="125">
        <f t="shared" si="4"/>
        <v>0</v>
      </c>
    </row>
    <row r="39" spans="1:12" s="2" customFormat="1" ht="12.75" customHeight="1">
      <c r="A39" s="54" t="s">
        <v>38</v>
      </c>
      <c r="B39" s="15">
        <v>0.025</v>
      </c>
      <c r="C39" s="26">
        <v>0.025</v>
      </c>
      <c r="D39" s="48">
        <v>0</v>
      </c>
      <c r="E39" s="48">
        <v>0</v>
      </c>
      <c r="F39" s="48">
        <v>0</v>
      </c>
      <c r="G39" s="90">
        <f t="shared" si="1"/>
        <v>0.95</v>
      </c>
      <c r="H39" s="6"/>
      <c r="I39" s="12" t="s">
        <v>39</v>
      </c>
      <c r="J39" s="111"/>
      <c r="K39" s="124">
        <f>70/60</f>
        <v>1.1666666666666667</v>
      </c>
      <c r="L39" s="125">
        <f t="shared" si="4"/>
        <v>0</v>
      </c>
    </row>
    <row r="40" spans="1:12" s="2" customFormat="1" ht="12.75" customHeight="1">
      <c r="A40" s="18" t="s">
        <v>58</v>
      </c>
      <c r="B40" s="15">
        <v>0.05</v>
      </c>
      <c r="C40" s="26">
        <v>0.05</v>
      </c>
      <c r="D40" s="48">
        <v>0</v>
      </c>
      <c r="E40" s="48">
        <v>0</v>
      </c>
      <c r="F40" s="48">
        <v>0</v>
      </c>
      <c r="G40" s="90">
        <f t="shared" si="1"/>
        <v>0.8999999999999999</v>
      </c>
      <c r="H40" s="6"/>
      <c r="I40" s="12" t="s">
        <v>6</v>
      </c>
      <c r="J40" s="111"/>
      <c r="K40" s="124">
        <v>2.99</v>
      </c>
      <c r="L40" s="125">
        <f t="shared" si="4"/>
        <v>0</v>
      </c>
    </row>
    <row r="41" spans="1:12" s="2" customFormat="1" ht="12.75" customHeight="1">
      <c r="A41" s="18" t="s">
        <v>12</v>
      </c>
      <c r="B41" s="15">
        <v>0.02</v>
      </c>
      <c r="C41" s="26">
        <v>0.06</v>
      </c>
      <c r="D41" s="48">
        <v>0</v>
      </c>
      <c r="E41" s="48">
        <v>0</v>
      </c>
      <c r="F41" s="48">
        <v>0</v>
      </c>
      <c r="G41" s="90">
        <f t="shared" si="1"/>
        <v>0.9199999999999999</v>
      </c>
      <c r="H41" s="6"/>
      <c r="I41" s="12" t="s">
        <v>7</v>
      </c>
      <c r="J41" s="111"/>
      <c r="K41" s="124">
        <v>2.69</v>
      </c>
      <c r="L41" s="125">
        <f t="shared" si="4"/>
        <v>0</v>
      </c>
    </row>
    <row r="42" spans="1:12" s="2" customFormat="1" ht="4.5" customHeight="1">
      <c r="A42" s="20"/>
      <c r="B42" s="28"/>
      <c r="C42" s="28"/>
      <c r="D42" s="51"/>
      <c r="E42" s="51"/>
      <c r="F42" s="51"/>
      <c r="G42" s="91"/>
      <c r="H42" s="13"/>
      <c r="I42" s="23"/>
      <c r="J42" s="120"/>
      <c r="K42" s="128"/>
      <c r="L42" s="125"/>
    </row>
    <row r="43" spans="1:12" s="2" customFormat="1" ht="12.75" customHeight="1">
      <c r="A43" s="18" t="s">
        <v>70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92">
        <f>1-B43-C43-D43-E43-F43</f>
        <v>1</v>
      </c>
      <c r="H43" s="6"/>
      <c r="I43" s="31" t="str">
        <f>"Brinell "&amp;ROUND((8.6+(0.29*B43*100)+(0.92*C43*100)),0)</f>
        <v>Brinell 9</v>
      </c>
      <c r="J43" s="119"/>
      <c r="K43" s="124"/>
      <c r="L43" s="125">
        <f>H43*K43</f>
        <v>0</v>
      </c>
    </row>
    <row r="44" spans="1:12" s="2" customFormat="1" ht="12.75" customHeight="1" thickBot="1">
      <c r="A44" s="19" t="s">
        <v>70</v>
      </c>
      <c r="B44" s="45">
        <v>0</v>
      </c>
      <c r="C44" s="45">
        <v>0</v>
      </c>
      <c r="D44" s="45">
        <v>0</v>
      </c>
      <c r="E44" s="45">
        <v>0</v>
      </c>
      <c r="F44" s="88">
        <v>0</v>
      </c>
      <c r="G44" s="93">
        <f>1-B44-C44-D44-E44-F44</f>
        <v>1</v>
      </c>
      <c r="H44" s="89"/>
      <c r="I44" s="46" t="str">
        <f>"Brinell "&amp;ROUND((8.6+(0.29*B44*100)+(0.92*C44*100)),0)</f>
        <v>Brinell 9</v>
      </c>
      <c r="J44" s="119"/>
      <c r="K44" s="135"/>
      <c r="L44" s="136">
        <f>H44*K44</f>
        <v>0</v>
      </c>
    </row>
    <row r="45" spans="1:13" s="2" customFormat="1" ht="7.5" customHeight="1" thickBot="1">
      <c r="A45" s="38"/>
      <c r="B45" s="97"/>
      <c r="C45" s="97"/>
      <c r="D45" s="39"/>
      <c r="E45" s="39"/>
      <c r="F45" s="39"/>
      <c r="G45" s="40"/>
      <c r="H45" s="41"/>
      <c r="I45" s="42"/>
      <c r="J45" s="119"/>
      <c r="K45" s="132"/>
      <c r="L45" s="132"/>
      <c r="M45" s="132"/>
    </row>
    <row r="46" spans="1:12" s="2" customFormat="1" ht="12.75" customHeight="1">
      <c r="A46" s="149" t="s">
        <v>13</v>
      </c>
      <c r="B46" s="10" t="s">
        <v>29</v>
      </c>
      <c r="C46" s="5" t="s">
        <v>30</v>
      </c>
      <c r="D46" s="25" t="s">
        <v>66</v>
      </c>
      <c r="E46" s="25" t="s">
        <v>79</v>
      </c>
      <c r="F46" s="25" t="s">
        <v>93</v>
      </c>
      <c r="G46" s="34" t="s">
        <v>31</v>
      </c>
      <c r="H46" s="10" t="s">
        <v>32</v>
      </c>
      <c r="I46" s="87" t="s">
        <v>27</v>
      </c>
      <c r="J46" s="131"/>
      <c r="K46" s="96" t="s">
        <v>95</v>
      </c>
      <c r="L46" s="11" t="s">
        <v>96</v>
      </c>
    </row>
    <row r="47" spans="1:12" s="2" customFormat="1" ht="12.75" customHeight="1" thickBot="1">
      <c r="A47" s="150"/>
      <c r="B47" s="21" t="e">
        <f>(B4*H4+B5*H5+B6*H6+B7*H7+B8*H8+B9*H9+B11*H11+B12*H12+B13*H13+B14*H14+B15*H15+B16*H16+B26*H26+B19*H19+B20*H20+B21*H21+B28*H28+B29*H29+B30*H30+B31*H31+B32*H32+B34*H34+B35*H35+B36*H36+B37*H37+B38*H38+B39*H39+B40*H40+B41*H41+B43*H43+B44*H44+B22*H22+B18*H18+B23*H23+B24*H24+B25*H25)/H47</f>
        <v>#DIV/0!</v>
      </c>
      <c r="C47" s="21" t="e">
        <f>(C4*H4+C5*H5+C6*H6+C7*H7+C8*H8+C9*H9+C11*H11+C12*H12+C13*H13+C14*H14+C15*H15+C16*H16+C26*H26+C19*H19+C20*H20+C21*H21+C28*H28+C29*H29+C30*H30+C31*H31+C32*H32+C34*H34+C35*H35+C36*H36+C37*H37+C38*H38+C39*H39+C40*H40+C41*H41+C43*H43+C44*H44+C22*H22+C18*H18+C23*H23+C24*H24+C25*H25)/H47</f>
        <v>#DIV/0!</v>
      </c>
      <c r="D47" s="21" t="e">
        <f>(D4*H4+D5*H5+D6*H6+D7*H7+D8*H8+D9*H9+D11*H11+D12*H12+D13*H13+D14*H14+D15*H15+D16*H16+D26*H26+D19*H19+D20*H20+D21*H21+D28*H28+D29*H29+D30*H30+D31*H31+D32*H32+D34*H34+D35*H35+D36*H36+D37*H37+D38*H38+D39*H39+D40*H40+D41*H41+D43*H43+D44*H44+D22*H22+D18*H18+D23*H23+D24*H24+D25*H25)/H47</f>
        <v>#DIV/0!</v>
      </c>
      <c r="E47" s="21" t="e">
        <f>(E4*H4+E5*H5+E6*H6+E7*H7+E8*H8+E9*H9+E11*H11+E12*H12+E13*H13+E14*H14+E15*H15+E16*H16+E26*H26+E19*H19+E20*H20+E21*H21+E28*H28+E29*H29+E30*H30+E31*H31+E32*H32+E34*H34+E35*H35+E36*H36+E37*H37+E38*H38+E39*H39+E40*H40+E41*H41+E43*H43+E44*H44+E22*H22+E18*H18+E23*H23+E24*H24+E25*H25)/H47</f>
        <v>#DIV/0!</v>
      </c>
      <c r="F47" s="21" t="e">
        <f>(F4*H4+F5*H5+F6*H6+F7*H7+F8*H8+F9*H9+F11*H11+F12*H12+F13*H13+F14*H14+F15*H15+F16*H16+F26*H26+F19*H19+F20*H20+F21*H21+F28*H28+F29*H29+F30*H30+F31*H31+F32*H32+F34*H34+F35*H35+F36*H36+F37*H37+F38*H38+F39*H39+F40*H40+F41*H41+F43*H43+F44*H44+F22*H22+F18*H18+F23*H23+F24*H24+F25*H25)/H47</f>
        <v>#DIV/0!</v>
      </c>
      <c r="G47" s="35" t="e">
        <f>1-B47-C47-D47-E47-F47</f>
        <v>#DIV/0!</v>
      </c>
      <c r="H47" s="22">
        <f>SUM(H4:H9,H11:H16,H18:H26,H28:H32,H34:H41,H43:H44)</f>
        <v>0</v>
      </c>
      <c r="I47" s="32" t="e">
        <f>8.6+(0.29*B47*100)+(0.92*C47*100)</f>
        <v>#DIV/0!</v>
      </c>
      <c r="J47" s="121"/>
      <c r="K47" s="133" t="e">
        <f>L47/H47</f>
        <v>#DIV/0!</v>
      </c>
      <c r="L47" s="134">
        <f>SUM(L4:L9,L11:L16,L18:L26,L28:L32,L34:L41,L43:L44)</f>
        <v>0</v>
      </c>
    </row>
    <row r="48" spans="1:10" s="2" customFormat="1" ht="7.5" customHeight="1">
      <c r="A48" s="16"/>
      <c r="B48" s="7"/>
      <c r="C48" s="7"/>
      <c r="D48" s="7"/>
      <c r="E48" s="7"/>
      <c r="F48" s="7"/>
      <c r="G48" s="29"/>
      <c r="H48" s="9"/>
      <c r="I48" s="8"/>
      <c r="J48" s="8"/>
    </row>
    <row r="49" spans="1:19" s="57" customFormat="1" ht="12">
      <c r="A49" s="143" t="s">
        <v>0</v>
      </c>
      <c r="B49" s="151"/>
      <c r="C49" s="151"/>
      <c r="D49" s="151"/>
      <c r="E49" s="151"/>
      <c r="F49" s="151"/>
      <c r="G49" s="151"/>
      <c r="H49" s="151"/>
      <c r="I49" s="152"/>
      <c r="J49" s="112"/>
      <c r="K49" s="94" t="s">
        <v>98</v>
      </c>
      <c r="L49" s="95"/>
      <c r="M49" s="112"/>
      <c r="N49" s="112"/>
      <c r="O49" s="112"/>
      <c r="P49" s="112"/>
      <c r="Q49" s="112"/>
      <c r="R49" s="112"/>
      <c r="S49" s="112"/>
    </row>
    <row r="50" spans="1:19" s="59" customFormat="1" ht="12.75">
      <c r="A50" s="60" t="s">
        <v>61</v>
      </c>
      <c r="B50" s="61"/>
      <c r="C50" s="61"/>
      <c r="D50" s="62"/>
      <c r="E50" s="62"/>
      <c r="F50" s="62"/>
      <c r="G50" s="62"/>
      <c r="H50" s="61"/>
      <c r="I50" s="69"/>
      <c r="J50" s="67"/>
      <c r="K50" s="156" t="s">
        <v>99</v>
      </c>
      <c r="L50" s="161">
        <v>220</v>
      </c>
      <c r="M50" s="67"/>
      <c r="N50" s="67"/>
      <c r="O50" s="67"/>
      <c r="P50" s="67"/>
      <c r="Q50" s="67"/>
      <c r="R50" s="67"/>
      <c r="S50" s="67"/>
    </row>
    <row r="51" spans="1:12" s="59" customFormat="1" ht="12.75">
      <c r="A51" s="60" t="s">
        <v>62</v>
      </c>
      <c r="B51" s="63"/>
      <c r="C51" s="63"/>
      <c r="D51" s="64"/>
      <c r="E51" s="64"/>
      <c r="F51" s="64"/>
      <c r="G51" s="64"/>
      <c r="H51" s="63"/>
      <c r="I51" s="153" t="s">
        <v>88</v>
      </c>
      <c r="J51" s="113"/>
      <c r="K51" s="156"/>
      <c r="L51" s="158"/>
    </row>
    <row r="52" spans="1:12" s="59" customFormat="1" ht="12.75">
      <c r="A52" s="60" t="s">
        <v>82</v>
      </c>
      <c r="B52" s="67"/>
      <c r="C52" s="67"/>
      <c r="D52" s="68"/>
      <c r="E52" s="68"/>
      <c r="F52" s="68"/>
      <c r="G52" s="68"/>
      <c r="H52" s="67"/>
      <c r="I52" s="154"/>
      <c r="J52" s="111"/>
      <c r="K52" s="156" t="s">
        <v>105</v>
      </c>
      <c r="L52" s="157" t="e">
        <f>L50/7000*K47</f>
        <v>#DIV/0!</v>
      </c>
    </row>
    <row r="53" spans="1:12" s="59" customFormat="1" ht="12.75">
      <c r="A53" s="60" t="s">
        <v>71</v>
      </c>
      <c r="B53" s="67"/>
      <c r="C53" s="67"/>
      <c r="D53" s="68"/>
      <c r="E53" s="68"/>
      <c r="F53" s="68"/>
      <c r="G53" s="68"/>
      <c r="H53" s="67"/>
      <c r="I53" s="154"/>
      <c r="J53" s="111"/>
      <c r="K53" s="156"/>
      <c r="L53" s="158"/>
    </row>
    <row r="54" spans="1:12" s="59" customFormat="1" ht="12.75">
      <c r="A54" s="60" t="s">
        <v>40</v>
      </c>
      <c r="B54" s="67"/>
      <c r="C54" s="67"/>
      <c r="D54" s="68"/>
      <c r="E54" s="68"/>
      <c r="F54" s="68"/>
      <c r="G54" s="68"/>
      <c r="H54" s="67"/>
      <c r="I54" s="155"/>
      <c r="J54" s="111"/>
      <c r="K54" s="129" t="s">
        <v>100</v>
      </c>
      <c r="L54" s="130" t="e">
        <f>L52*20</f>
        <v>#DIV/0!</v>
      </c>
    </row>
    <row r="55" spans="1:12" s="59" customFormat="1" ht="12.75">
      <c r="A55" s="60" t="s">
        <v>11</v>
      </c>
      <c r="B55" s="63"/>
      <c r="C55" s="63"/>
      <c r="D55" s="64"/>
      <c r="E55" s="64"/>
      <c r="F55" s="64"/>
      <c r="G55" s="64"/>
      <c r="H55" s="63"/>
      <c r="I55" s="65"/>
      <c r="J55" s="63"/>
      <c r="K55" s="129" t="s">
        <v>101</v>
      </c>
      <c r="L55" s="130" t="e">
        <f>L52*50</f>
        <v>#DIV/0!</v>
      </c>
    </row>
    <row r="56" spans="1:12" s="59" customFormat="1" ht="12.75">
      <c r="A56" s="60" t="s">
        <v>72</v>
      </c>
      <c r="B56" s="67"/>
      <c r="C56" s="67"/>
      <c r="D56" s="68"/>
      <c r="E56" s="68"/>
      <c r="F56" s="68"/>
      <c r="G56" s="68"/>
      <c r="H56" s="67"/>
      <c r="I56" s="69"/>
      <c r="J56" s="67"/>
      <c r="K56" s="129" t="s">
        <v>102</v>
      </c>
      <c r="L56" s="130" t="e">
        <f>L52*100</f>
        <v>#DIV/0!</v>
      </c>
    </row>
    <row r="57" spans="1:12" s="59" customFormat="1" ht="12.75">
      <c r="A57" s="70" t="s">
        <v>37</v>
      </c>
      <c r="B57" s="71"/>
      <c r="C57" s="71"/>
      <c r="D57" s="72"/>
      <c r="E57" s="72"/>
      <c r="F57" s="72"/>
      <c r="G57" s="72"/>
      <c r="H57" s="71"/>
      <c r="I57" s="73"/>
      <c r="J57" s="67"/>
      <c r="K57" s="129" t="s">
        <v>104</v>
      </c>
      <c r="L57" s="130" t="e">
        <f>L52*500</f>
        <v>#DIV/0!</v>
      </c>
    </row>
    <row r="58" spans="1:12" s="58" customFormat="1" ht="12.75">
      <c r="A58" s="143" t="s">
        <v>44</v>
      </c>
      <c r="B58" s="151"/>
      <c r="C58" s="151"/>
      <c r="D58" s="151"/>
      <c r="E58" s="151"/>
      <c r="F58" s="151"/>
      <c r="G58" s="151"/>
      <c r="H58" s="151"/>
      <c r="I58" s="152"/>
      <c r="J58" s="112"/>
      <c r="K58" s="129" t="s">
        <v>103</v>
      </c>
      <c r="L58" s="130" t="e">
        <f>L52*1000</f>
        <v>#DIV/0!</v>
      </c>
    </row>
    <row r="59" spans="1:12" s="66" customFormat="1" ht="12.75" customHeight="1">
      <c r="A59" s="74" t="s">
        <v>23</v>
      </c>
      <c r="B59" s="67" t="s">
        <v>80</v>
      </c>
      <c r="C59" s="75" t="s">
        <v>22</v>
      </c>
      <c r="D59" s="76"/>
      <c r="E59" s="67" t="s">
        <v>80</v>
      </c>
      <c r="F59" s="67"/>
      <c r="G59" s="77" t="s">
        <v>68</v>
      </c>
      <c r="H59" s="76"/>
      <c r="I59" s="84" t="s">
        <v>92</v>
      </c>
      <c r="J59" s="114"/>
      <c r="K59" s="117"/>
      <c r="L59" s="117"/>
    </row>
    <row r="60" spans="1:12" s="66" customFormat="1" ht="12.75">
      <c r="A60" s="74" t="s">
        <v>28</v>
      </c>
      <c r="B60" s="67" t="s">
        <v>80</v>
      </c>
      <c r="C60" s="78" t="s">
        <v>24</v>
      </c>
      <c r="D60" s="76"/>
      <c r="E60" s="67" t="s">
        <v>80</v>
      </c>
      <c r="F60" s="67"/>
      <c r="G60" s="77" t="s">
        <v>67</v>
      </c>
      <c r="H60" s="76"/>
      <c r="I60" s="69" t="s">
        <v>80</v>
      </c>
      <c r="J60" s="67"/>
      <c r="K60" s="139" t="str">
        <f>IF((ROUND(H47,1))=1,"Qty of boolits with "&amp;(ROUND(H47,1))&amp;" lb of alloy = ","Qty of boolits with "&amp;(ROUND(H47,1))&amp;" lbs of alloy = ")</f>
        <v>Qty of boolits with 0 lbs of alloy = </v>
      </c>
      <c r="L60" s="141">
        <f>ROUND(H47*7000/L50,0)</f>
        <v>0</v>
      </c>
    </row>
    <row r="61" spans="1:12" s="66" customFormat="1" ht="12.75">
      <c r="A61" s="79" t="s">
        <v>69</v>
      </c>
      <c r="B61" s="71" t="s">
        <v>80</v>
      </c>
      <c r="C61" s="80" t="s">
        <v>65</v>
      </c>
      <c r="D61" s="81"/>
      <c r="E61" s="71" t="s">
        <v>80</v>
      </c>
      <c r="F61" s="71"/>
      <c r="G61" s="80" t="s">
        <v>85</v>
      </c>
      <c r="H61" s="81"/>
      <c r="I61" s="73" t="s">
        <v>80</v>
      </c>
      <c r="J61" s="67"/>
      <c r="K61" s="140"/>
      <c r="L61" s="142"/>
    </row>
    <row r="62" spans="1:11" s="57" customFormat="1" ht="12.75">
      <c r="A62" s="143" t="s">
        <v>43</v>
      </c>
      <c r="B62" s="144"/>
      <c r="C62" s="144"/>
      <c r="D62" s="144"/>
      <c r="E62" s="144"/>
      <c r="F62" s="144"/>
      <c r="G62" s="144"/>
      <c r="H62" s="144"/>
      <c r="I62" s="145"/>
      <c r="J62" s="115"/>
      <c r="K62" s="117"/>
    </row>
    <row r="63" spans="1:12" s="59" customFormat="1" ht="12.75">
      <c r="A63" s="82" t="s">
        <v>41</v>
      </c>
      <c r="B63" s="71"/>
      <c r="C63" s="80" t="s">
        <v>42</v>
      </c>
      <c r="D63" s="71"/>
      <c r="E63" s="71"/>
      <c r="F63" s="71"/>
      <c r="G63" s="55" t="s">
        <v>89</v>
      </c>
      <c r="H63" s="72"/>
      <c r="I63" s="83" t="s">
        <v>90</v>
      </c>
      <c r="J63" s="116"/>
      <c r="K63" s="1"/>
      <c r="L63" s="138" t="s">
        <v>106</v>
      </c>
    </row>
    <row r="64" spans="1:7" ht="12.75">
      <c r="A64" s="1"/>
      <c r="D64" s="1"/>
      <c r="E64" s="1"/>
      <c r="F64" s="1"/>
      <c r="G64" s="1"/>
    </row>
    <row r="65" ht="12.75"/>
    <row r="66" ht="12.75"/>
    <row r="67" ht="12.75"/>
  </sheetData>
  <sheetProtection/>
  <mergeCells count="13">
    <mergeCell ref="K1:L1"/>
    <mergeCell ref="K50:K51"/>
    <mergeCell ref="L50:L51"/>
    <mergeCell ref="K60:K61"/>
    <mergeCell ref="L60:L61"/>
    <mergeCell ref="A62:I62"/>
    <mergeCell ref="A1:I1"/>
    <mergeCell ref="A46:A47"/>
    <mergeCell ref="A49:I49"/>
    <mergeCell ref="A58:I58"/>
    <mergeCell ref="I51:I54"/>
    <mergeCell ref="K52:K53"/>
    <mergeCell ref="L52:L53"/>
  </mergeCells>
  <hyperlinks>
    <hyperlink ref="A59" r:id="rId1" display="www.castboolits.gunloads.com"/>
    <hyperlink ref="C59" r:id="rId2" display="www.lasc.us/SuperHard.htm"/>
    <hyperlink ref="C60" r:id="rId3" display="www.lasc.us/CastBulletNotes.htm"/>
    <hyperlink ref="A60" r:id="rId4" display="www.missouribullet.com/technical.php"/>
    <hyperlink ref="A61" r:id="rId5" display="www.fellingfamily.net/isolead/index.html"/>
    <hyperlink ref="A63" r:id="rId6" display="Castboolits Vendor Sales"/>
    <hyperlink ref="C63" r:id="rId7" display="Castboolits Swappin &amp; Sellin"/>
    <hyperlink ref="G59" r:id="rId8" display="www.lasc.us/WiljenArsenic.htm"/>
    <hyperlink ref="G63" r:id="rId9" display="RotoMetals.com"/>
    <hyperlink ref="G60" r:id="rId10" display="www.lasc.us/HeatTreat.htm"/>
    <hyperlink ref="C61" r:id="rId11" display="www.midwayusa.com"/>
    <hyperlink ref="G61" r:id="rId12" display="From Ingot to Target - Glen Fryxell"/>
    <hyperlink ref="I51" r:id="rId13" display="Update"/>
    <hyperlink ref="I63" r:id="rId14" display="MissouriBullet.com"/>
    <hyperlink ref="I59" r:id="rId15" display="Solder Ref."/>
  </hyperlinks>
  <printOptions/>
  <pageMargins left="0.5" right="0.5" top="0.375" bottom="0.375" header="0.5" footer="0.5"/>
  <pageSetup horizontalDpi="600" verticalDpi="600" orientation="portrait" r:id="rId18"/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 - bumpo628</dc:creator>
  <cp:keywords/>
  <dc:description/>
  <cp:lastModifiedBy>Michael McLaughlin</cp:lastModifiedBy>
  <cp:lastPrinted>2012-06-01T00:35:12Z</cp:lastPrinted>
  <dcterms:created xsi:type="dcterms:W3CDTF">2009-05-20T22:38:58Z</dcterms:created>
  <dcterms:modified xsi:type="dcterms:W3CDTF">2016-02-23T00:45:57Z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586031224</vt:i4>
  </property>
  <property fmtid="{D5CDD505-2E9C-101B-9397-08002B2CF9AE}" pid="3" name="_EmailSubject">
    <vt:lpwstr>Reloading &amp; gun info</vt:lpwstr>
  </property>
  <property fmtid="{D5CDD505-2E9C-101B-9397-08002B2CF9AE}" pid="4" name="_AuthorEmail">
    <vt:lpwstr>nat@se-gi.com</vt:lpwstr>
  </property>
  <property fmtid="{D5CDD505-2E9C-101B-9397-08002B2CF9AE}" pid="5" name="_AuthorEmailDisplayName">
    <vt:lpwstr>Nathaniel Park</vt:lpwstr>
  </property>
  <property fmtid="{D5CDD505-2E9C-101B-9397-08002B2CF9AE}" pid="6" name="_ReviewingToolsShownOnce">
    <vt:lpwstr/>
  </property>
</Properties>
</file>